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LSON\PROJECTS\DEVELOP_NELSON\DocumentacionAPI\public\content\Docs\"/>
    </mc:Choice>
  </mc:AlternateContent>
  <bookViews>
    <workbookView xWindow="0" yWindow="0" windowWidth="28800" windowHeight="12030" tabRatio="500"/>
  </bookViews>
  <sheets>
    <sheet name="FORMULA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6" i="1"/>
  <c r="Y12" i="1" l="1"/>
  <c r="X12" i="1"/>
  <c r="V12" i="1"/>
  <c r="P12" i="1"/>
  <c r="O12" i="1"/>
  <c r="J12" i="1"/>
  <c r="P10" i="1"/>
  <c r="P11" i="1"/>
  <c r="P13" i="1"/>
  <c r="P14" i="1"/>
  <c r="O10" i="1"/>
  <c r="O11" i="1"/>
  <c r="O13" i="1"/>
  <c r="O14" i="1"/>
  <c r="W19" i="1"/>
  <c r="Y6" i="1"/>
  <c r="X6" i="1"/>
  <c r="AA6" i="1"/>
  <c r="Y7" i="1"/>
  <c r="X7" i="1"/>
  <c r="V7" i="1"/>
  <c r="J7" i="1"/>
  <c r="V8" i="1"/>
  <c r="X8" i="1"/>
  <c r="Y8" i="1"/>
  <c r="V9" i="1"/>
  <c r="X9" i="1"/>
  <c r="Y9" i="1"/>
  <c r="V10" i="1"/>
  <c r="X10" i="1"/>
  <c r="Y10" i="1"/>
  <c r="V11" i="1"/>
  <c r="X11" i="1"/>
  <c r="Y11" i="1"/>
  <c r="V13" i="1"/>
  <c r="X13" i="1"/>
  <c r="Y13" i="1"/>
  <c r="V14" i="1"/>
  <c r="X14" i="1"/>
  <c r="Y14" i="1"/>
  <c r="J8" i="1"/>
  <c r="Q9" i="1"/>
  <c r="R9" i="1" s="1"/>
  <c r="Q10" i="1"/>
  <c r="Q11" i="1"/>
  <c r="J13" i="1"/>
  <c r="Q14" i="1"/>
  <c r="R14" i="1" s="1"/>
  <c r="V6" i="1"/>
  <c r="K12" i="1" l="1"/>
  <c r="L12" i="1" s="1"/>
  <c r="AA12" i="1"/>
  <c r="Q12" i="1"/>
  <c r="K7" i="1"/>
  <c r="L7" i="1" s="1"/>
  <c r="O7" i="1" s="1"/>
  <c r="AA7" i="1"/>
  <c r="Q7" i="1"/>
  <c r="K13" i="1"/>
  <c r="L13" i="1" s="1"/>
  <c r="R11" i="1"/>
  <c r="S11" i="1" s="1"/>
  <c r="T11" i="1" s="1"/>
  <c r="U11" i="1" s="1"/>
  <c r="R10" i="1"/>
  <c r="S10" i="1" s="1"/>
  <c r="AA11" i="1"/>
  <c r="J11" i="1"/>
  <c r="J10" i="1"/>
  <c r="K10" i="1" s="1"/>
  <c r="J9" i="1"/>
  <c r="AA10" i="1"/>
  <c r="AA9" i="1"/>
  <c r="Q13" i="1"/>
  <c r="AA14" i="1"/>
  <c r="J14" i="1"/>
  <c r="AA13" i="1"/>
  <c r="K8" i="1"/>
  <c r="L8" i="1" s="1"/>
  <c r="O8" i="1" s="1"/>
  <c r="Q8" i="1"/>
  <c r="AA8" i="1"/>
  <c r="S14" i="1"/>
  <c r="S9" i="1"/>
  <c r="W26" i="1"/>
  <c r="Q6" i="1"/>
  <c r="J6" i="1"/>
  <c r="K6" i="1" s="1"/>
  <c r="M12" i="1" l="1"/>
  <c r="N12" i="1" s="1"/>
  <c r="R12" i="1"/>
  <c r="S12" i="1" s="1"/>
  <c r="W12" i="1" s="1"/>
  <c r="Z12" i="1" s="1"/>
  <c r="R6" i="1"/>
  <c r="S6" i="1" s="1"/>
  <c r="T6" i="1" s="1"/>
  <c r="U6" i="1" s="1"/>
  <c r="L6" i="1"/>
  <c r="O6" i="1" s="1"/>
  <c r="L10" i="1"/>
  <c r="M13" i="1"/>
  <c r="N13" i="1" s="1"/>
  <c r="M7" i="1"/>
  <c r="N7" i="1" s="1"/>
  <c r="P7" i="1" s="1"/>
  <c r="R7" i="1"/>
  <c r="S7" i="1" s="1"/>
  <c r="R13" i="1"/>
  <c r="S13" i="1" s="1"/>
  <c r="W13" i="1" s="1"/>
  <c r="K14" i="1"/>
  <c r="L14" i="1" s="1"/>
  <c r="W14" i="1" s="1"/>
  <c r="T10" i="1"/>
  <c r="U10" i="1" s="1"/>
  <c r="K9" i="1"/>
  <c r="L9" i="1" s="1"/>
  <c r="O9" i="1" s="1"/>
  <c r="K11" i="1"/>
  <c r="L11" i="1" s="1"/>
  <c r="W11" i="1" s="1"/>
  <c r="M8" i="1"/>
  <c r="N8" i="1" s="1"/>
  <c r="P8" i="1" s="1"/>
  <c r="R8" i="1"/>
  <c r="S8" i="1" s="1"/>
  <c r="W8" i="1" s="1"/>
  <c r="T9" i="1"/>
  <c r="U9" i="1" s="1"/>
  <c r="T14" i="1"/>
  <c r="U14" i="1" s="1"/>
  <c r="M10" i="1"/>
  <c r="T12" i="1" l="1"/>
  <c r="U12" i="1" s="1"/>
  <c r="M6" i="1"/>
  <c r="N6" i="1" s="1"/>
  <c r="P6" i="1" s="1"/>
  <c r="W7" i="1"/>
  <c r="Z7" i="1" s="1"/>
  <c r="W6" i="1"/>
  <c r="Z6" i="1" s="1"/>
  <c r="W30" i="1"/>
  <c r="W10" i="1"/>
  <c r="Z10" i="1" s="1"/>
  <c r="N10" i="1"/>
  <c r="Y23" i="1"/>
  <c r="T7" i="1"/>
  <c r="U7" i="1" s="1"/>
  <c r="M11" i="1"/>
  <c r="N11" i="1" s="1"/>
  <c r="Z11" i="1"/>
  <c r="T13" i="1"/>
  <c r="U13" i="1" s="1"/>
  <c r="Z13" i="1"/>
  <c r="M14" i="1"/>
  <c r="N14" i="1" s="1"/>
  <c r="Z14" i="1"/>
  <c r="M9" i="1"/>
  <c r="N9" i="1" s="1"/>
  <c r="P9" i="1" s="1"/>
  <c r="T8" i="1"/>
  <c r="U8" i="1" s="1"/>
  <c r="Z8" i="1"/>
  <c r="W18" i="1" l="1"/>
  <c r="W17" i="1"/>
  <c r="Y22" i="1"/>
  <c r="Y29" i="1" s="1"/>
  <c r="W20" i="1"/>
  <c r="W21" i="1"/>
  <c r="W16" i="1"/>
  <c r="W9" i="1"/>
  <c r="Z9" i="1" s="1"/>
  <c r="W32" i="1"/>
  <c r="Y32" i="1" s="1"/>
  <c r="Y24" i="1" l="1"/>
  <c r="W25" i="1" l="1"/>
  <c r="W27" i="1" s="1"/>
  <c r="W34" i="1" l="1"/>
  <c r="W36" i="1" s="1"/>
  <c r="Y28" i="1"/>
  <c r="Y34" i="1" s="1"/>
</calcChain>
</file>

<file path=xl/sharedStrings.xml><?xml version="1.0" encoding="utf-8"?>
<sst xmlns="http://schemas.openxmlformats.org/spreadsheetml/2006/main" count="97" uniqueCount="80">
  <si>
    <t>XML LINE</t>
  </si>
  <si>
    <t>IGV</t>
  </si>
  <si>
    <t xml:space="preserve">PRICE AMOUNT </t>
  </si>
  <si>
    <t>MOD</t>
  </si>
  <si>
    <t>ALLOWANCE</t>
  </si>
  <si>
    <t>LINE EXTENSION AMOUNT</t>
  </si>
  <si>
    <t>BASE (VV ITEM + ISC ITEM)</t>
  </si>
  <si>
    <t>PRICE AMOUNT</t>
  </si>
  <si>
    <t>GRATUITO CERO</t>
  </si>
  <si>
    <t>VALOR DE VENTA BASE IMPONIBLE</t>
  </si>
  <si>
    <t>BOLSA</t>
  </si>
  <si>
    <t>TOTAL ITEM</t>
  </si>
  <si>
    <t>ITEM</t>
  </si>
  <si>
    <t>ICBPER</t>
  </si>
  <si>
    <t>TOTAL VV</t>
  </si>
  <si>
    <t>DES X ITEM</t>
  </si>
  <si>
    <t>VV ITEM</t>
  </si>
  <si>
    <t>DESGLO</t>
  </si>
  <si>
    <t>VVNET</t>
  </si>
  <si>
    <t>IGVITEM</t>
  </si>
  <si>
    <t>IGV NETO</t>
  </si>
  <si>
    <t>GRAVADO</t>
  </si>
  <si>
    <t>EXONERADO</t>
  </si>
  <si>
    <t>OP. GRAVADA</t>
  </si>
  <si>
    <t>GRATUITO</t>
  </si>
  <si>
    <t>OP. EXONERADA</t>
  </si>
  <si>
    <t>OP. INAFECTA</t>
  </si>
  <si>
    <t>OP.  EXPORTACION</t>
  </si>
  <si>
    <t>TOTAL DESCUENTOS</t>
  </si>
  <si>
    <t>DESCUENTO GLOBAL</t>
  </si>
  <si>
    <t>XML ALLOWANCE CHARGE: CODIGO 03 ANEXO 8 CAT 53</t>
  </si>
  <si>
    <t>DESCUENTO GLOBAL QUE NO AFECTAN LA BASE IMPONIBLE IGV</t>
  </si>
  <si>
    <t>PRECIO DE VENTA</t>
  </si>
  <si>
    <t>DESCUENTO ITEM  QUE NO AFECTAN LA BASE IMPONIBLE IGV</t>
  </si>
  <si>
    <t xml:space="preserve">XML LEGAL MONETARY 1: LINE EXTENSION AMOUNT </t>
  </si>
  <si>
    <t>VALOR DE VENTA</t>
  </si>
  <si>
    <t>TOTAL IMPUESTOS</t>
  </si>
  <si>
    <t>XML LEGAL MONETARY 2: TAX INCLUSIVE AMOUNT</t>
  </si>
  <si>
    <t>XML LEGAL MONETARY 3: ALLOWANCE TOTAL AMOUNT: (CODIGO 03 + CODIGO 01 ANEXO 8 CAT53)</t>
  </si>
  <si>
    <t>OTROS DESCUENTOS QUE NO AFECTAN LA BASE IMPONIBLE IGV</t>
  </si>
  <si>
    <t>OP.GRATUITA</t>
  </si>
  <si>
    <t>OTROS TRIBUTOS</t>
  </si>
  <si>
    <t>XML LEGAL MONETARY 4: CHARGE TOTAL AMOUNT: (CODIGO 46 + CODIGO 48 ANEXO 8 CAT53)</t>
  </si>
  <si>
    <t>OTROS CARGOS (RECARGO AL CONSUMO) global</t>
  </si>
  <si>
    <t xml:space="preserve">XML LEGAL MONETARY 5: PREPAID AMOUNT: </t>
  </si>
  <si>
    <t>ANTICIPOS</t>
  </si>
  <si>
    <t>XML LEGAL MONETARY 6: PAYABLE AMOUNT</t>
  </si>
  <si>
    <t>IMPORTE TOTAL</t>
  </si>
  <si>
    <t>TOTAL A COBRAR</t>
  </si>
  <si>
    <t>INAFECTO</t>
  </si>
  <si>
    <t>GRAVADO PROPINA</t>
  </si>
  <si>
    <t>FORMULA DE COMPROBANTES - PARA INTEGRACION BASICA</t>
  </si>
  <si>
    <t>AFECTACION IGV</t>
  </si>
  <si>
    <t>GRAVADO +ICBPER</t>
  </si>
  <si>
    <t>GRAVADO GRATUITO</t>
  </si>
  <si>
    <t>EXONERADO
 GRATUITO</t>
  </si>
  <si>
    <t>DESCUENTO ITEM %</t>
  </si>
  <si>
    <t>GRAVADO + DESCUENTO ITEM</t>
  </si>
  <si>
    <t>DESCUENTO GLOBAL CARGO</t>
  </si>
  <si>
    <t>TOTAL CARGO</t>
  </si>
  <si>
    <t xml:space="preserve">DESCUENTO CARGO </t>
  </si>
  <si>
    <t xml:space="preserve"> ITEM CARGO</t>
  </si>
  <si>
    <t>CARGO NETO</t>
  </si>
  <si>
    <t>ICBPER ITEM</t>
  </si>
  <si>
    <t>TOTAL PRECIO VENTA ITEM</t>
  </si>
  <si>
    <t>Descuento Global</t>
  </si>
  <si>
    <t>EXONERADO + DESCUENTO ITEM</t>
  </si>
  <si>
    <t>PRODUCTO EJEMPLO</t>
  </si>
  <si>
    <t>CANTIDAD</t>
  </si>
  <si>
    <t>PRECIO UNITARIO
P.U</t>
  </si>
  <si>
    <t>PROPINA, CARGO O RECARGO AL CONSUMO</t>
  </si>
  <si>
    <t>% CARGO
PROPINA</t>
  </si>
  <si>
    <t>ICBPER UNITARIO
S/0.50</t>
  </si>
  <si>
    <t>Tasa IGV</t>
  </si>
  <si>
    <t>XML LINE PRICE REFERENCE</t>
  </si>
  <si>
    <t>XML LINE C_DES_I</t>
  </si>
  <si>
    <t>XML LINE C_DES_G</t>
  </si>
  <si>
    <t>VALOR UNITARIO 
V.U</t>
  </si>
  <si>
    <t>Puede modificar solo los campos en verde, antes revise la GUIA DE USO entregado por RAPIFAC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</si>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</sst>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\ %"/>
    <numFmt numFmtId="165" formatCode="_-* #,##0.00_-;\-* #,##0.00_-;_-* \-??_-;_-@_-"/>
    <numFmt numFmtId="166" formatCode="0.00\ %"/>
    <numFmt numFmtId="167" formatCode="0.00000%"/>
    <numFmt numFmtId="168" formatCode="_-* #,##0.0000_-;\-* #,##0.0000_-;_-* \-??_-;_-@_-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color rgb="FFFF0000"/>
      <name val="Calibri"/>
      <family val="2"/>
      <charset val="1"/>
    </font>
    <font>
      <b/>
      <sz val="20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4B183"/>
        <bgColor rgb="FFFFD966"/>
      </patternFill>
    </fill>
    <fill>
      <patternFill patternType="solid">
        <fgColor rgb="FFA9D18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rgb="FFB4C7E7"/>
        <bgColor rgb="FF9DC3E6"/>
      </patternFill>
    </fill>
    <fill>
      <patternFill patternType="solid">
        <fgColor rgb="FFFFE699"/>
        <bgColor rgb="FFFFD966"/>
      </patternFill>
    </fill>
    <fill>
      <patternFill patternType="solid">
        <fgColor rgb="FFFFD966"/>
        <bgColor rgb="FFFFE699"/>
      </patternFill>
    </fill>
    <fill>
      <patternFill patternType="solid">
        <fgColor rgb="FF00B050"/>
        <bgColor rgb="FFC5E0B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BDD7E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D96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111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3" fillId="0" borderId="0" xfId="0" applyFont="1" applyAlignment="1">
      <alignment horizontal="center"/>
    </xf>
    <xf numFmtId="165" fontId="1" fillId="0" borderId="0" xfId="0" applyNumberFormat="1" applyFont="1" applyAlignment="1"/>
    <xf numFmtId="165" fontId="0" fillId="0" borderId="0" xfId="0" applyNumberFormat="1" applyFont="1"/>
    <xf numFmtId="0" fontId="1" fillId="0" borderId="0" xfId="0" applyFont="1" applyAlignment="1">
      <alignment horizontal="left"/>
    </xf>
    <xf numFmtId="165" fontId="0" fillId="0" borderId="1" xfId="0" applyNumberFormat="1" applyFont="1" applyBorder="1" applyAlignment="1"/>
    <xf numFmtId="0" fontId="0" fillId="0" borderId="0" xfId="0" applyBorder="1"/>
    <xf numFmtId="165" fontId="0" fillId="0" borderId="0" xfId="0" applyNumberFormat="1" applyBorder="1"/>
    <xf numFmtId="165" fontId="0" fillId="0" borderId="0" xfId="0" applyNumberFormat="1"/>
    <xf numFmtId="165" fontId="4" fillId="0" borderId="0" xfId="0" applyNumberFormat="1" applyFont="1"/>
    <xf numFmtId="165" fontId="4" fillId="0" borderId="1" xfId="0" applyNumberFormat="1" applyFont="1" applyBorder="1" applyAlignment="1"/>
    <xf numFmtId="165" fontId="1" fillId="0" borderId="0" xfId="0" applyNumberFormat="1" applyFont="1"/>
    <xf numFmtId="0" fontId="1" fillId="0" borderId="0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5" fontId="1" fillId="0" borderId="1" xfId="0" applyNumberFormat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vertical="center"/>
    </xf>
    <xf numFmtId="165" fontId="5" fillId="7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6" fillId="10" borderId="1" xfId="1" applyFont="1" applyFill="1" applyBorder="1" applyAlignment="1" applyProtection="1">
      <alignment horizontal="center" vertical="center"/>
    </xf>
    <xf numFmtId="165" fontId="6" fillId="8" borderId="1" xfId="0" applyNumberFormat="1" applyFont="1" applyFill="1" applyBorder="1" applyAlignment="1">
      <alignment vertical="center"/>
    </xf>
    <xf numFmtId="166" fontId="0" fillId="8" borderId="1" xfId="1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6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8" borderId="0" xfId="0" applyNumberFormat="1" applyFont="1" applyFill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/>
    <xf numFmtId="165" fontId="11" fillId="0" borderId="0" xfId="0" applyNumberFormat="1" applyFont="1"/>
    <xf numFmtId="165" fontId="11" fillId="0" borderId="0" xfId="0" applyNumberFormat="1" applyFont="1" applyFill="1" applyAlignment="1"/>
    <xf numFmtId="165" fontId="1" fillId="0" borderId="0" xfId="0" applyNumberFormat="1" applyFont="1" applyFill="1" applyAlignment="1"/>
    <xf numFmtId="165" fontId="0" fillId="0" borderId="0" xfId="0" applyNumberFormat="1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ill="1"/>
    <xf numFmtId="165" fontId="0" fillId="0" borderId="0" xfId="0" applyNumberFormat="1" applyFont="1" applyFill="1"/>
    <xf numFmtId="165" fontId="0" fillId="0" borderId="0" xfId="0" applyNumberFormat="1" applyFill="1" applyBorder="1"/>
    <xf numFmtId="0" fontId="0" fillId="0" borderId="0" xfId="0" applyFill="1" applyBorder="1"/>
    <xf numFmtId="0" fontId="1" fillId="11" borderId="1" xfId="0" applyFont="1" applyFill="1" applyBorder="1" applyAlignment="1">
      <alignment horizontal="center" vertical="center" wrapText="1"/>
    </xf>
    <xf numFmtId="165" fontId="6" fillId="11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10" fillId="11" borderId="0" xfId="0" applyFont="1" applyFill="1"/>
    <xf numFmtId="165" fontId="5" fillId="11" borderId="1" xfId="0" applyNumberFormat="1" applyFont="1" applyFill="1" applyBorder="1" applyAlignment="1">
      <alignment vertical="center"/>
    </xf>
    <xf numFmtId="165" fontId="0" fillId="11" borderId="1" xfId="0" applyNumberFormat="1" applyFill="1" applyBorder="1" applyAlignment="1">
      <alignment vertical="center"/>
    </xf>
    <xf numFmtId="165" fontId="0" fillId="0" borderId="0" xfId="0" applyNumberFormat="1" applyFont="1" applyFill="1" applyAlignment="1"/>
    <xf numFmtId="167" fontId="0" fillId="0" borderId="0" xfId="0" applyNumberFormat="1" applyFill="1"/>
    <xf numFmtId="168" fontId="0" fillId="0" borderId="0" xfId="0" applyNumberFormat="1" applyFill="1"/>
    <xf numFmtId="0" fontId="1" fillId="11" borderId="1" xfId="0" applyFont="1" applyFill="1" applyBorder="1" applyAlignment="1">
      <alignment horizontal="center" vertical="center"/>
    </xf>
    <xf numFmtId="165" fontId="4" fillId="0" borderId="0" xfId="0" applyNumberFormat="1" applyFont="1" applyFill="1"/>
    <xf numFmtId="165" fontId="0" fillId="0" borderId="0" xfId="0" applyNumberFormat="1" applyFont="1" applyFill="1" applyBorder="1" applyAlignment="1"/>
    <xf numFmtId="165" fontId="4" fillId="0" borderId="0" xfId="0" applyNumberFormat="1" applyFont="1" applyFill="1" applyBorder="1" applyAlignment="1"/>
    <xf numFmtId="165" fontId="1" fillId="0" borderId="0" xfId="0" applyNumberFormat="1" applyFont="1" applyFill="1" applyBorder="1"/>
    <xf numFmtId="0" fontId="0" fillId="11" borderId="0" xfId="0" applyFill="1"/>
    <xf numFmtId="0" fontId="2" fillId="12" borderId="0" xfId="0" applyFont="1" applyFill="1" applyAlignment="1">
      <alignment horizontal="left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vertical="center"/>
    </xf>
    <xf numFmtId="165" fontId="6" fillId="11" borderId="1" xfId="0" applyNumberFormat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12" borderId="0" xfId="0" applyFont="1" applyFill="1"/>
    <xf numFmtId="0" fontId="0" fillId="12" borderId="0" xfId="0" applyFill="1"/>
    <xf numFmtId="0" fontId="0" fillId="12" borderId="0" xfId="0" applyFill="1" applyBorder="1"/>
    <xf numFmtId="0" fontId="1" fillId="12" borderId="0" xfId="0" applyFont="1" applyFill="1" applyAlignment="1">
      <alignment horizontal="left"/>
    </xf>
    <xf numFmtId="165" fontId="0" fillId="12" borderId="1" xfId="0" applyNumberFormat="1" applyFont="1" applyFill="1" applyBorder="1" applyAlignment="1"/>
    <xf numFmtId="165" fontId="0" fillId="11" borderId="0" xfId="0" applyNumberFormat="1" applyFont="1" applyFill="1" applyBorder="1" applyAlignment="1"/>
    <xf numFmtId="165" fontId="1" fillId="11" borderId="0" xfId="0" applyNumberFormat="1" applyFont="1" applyFill="1" applyBorder="1" applyAlignment="1"/>
    <xf numFmtId="165" fontId="1" fillId="12" borderId="1" xfId="0" applyNumberFormat="1" applyFont="1" applyFill="1" applyBorder="1"/>
    <xf numFmtId="165" fontId="1" fillId="11" borderId="0" xfId="0" applyNumberFormat="1" applyFont="1" applyFill="1" applyBorder="1"/>
    <xf numFmtId="165" fontId="0" fillId="12" borderId="0" xfId="0" applyNumberFormat="1" applyFont="1" applyFill="1"/>
    <xf numFmtId="165" fontId="0" fillId="11" borderId="0" xfId="0" applyNumberFormat="1" applyFont="1" applyFill="1"/>
    <xf numFmtId="0" fontId="1" fillId="0" borderId="0" xfId="0" applyFont="1" applyFill="1" applyAlignment="1">
      <alignment horizontal="left"/>
    </xf>
    <xf numFmtId="165" fontId="0" fillId="0" borderId="1" xfId="0" applyNumberFormat="1" applyFont="1" applyFill="1" applyBorder="1" applyAlignment="1"/>
    <xf numFmtId="165" fontId="6" fillId="0" borderId="1" xfId="0" applyNumberFormat="1" applyFont="1" applyBorder="1" applyAlignment="1"/>
    <xf numFmtId="0" fontId="1" fillId="0" borderId="0" xfId="0" applyFont="1" applyBorder="1" applyAlignment="1"/>
    <xf numFmtId="0" fontId="7" fillId="9" borderId="0" xfId="0" applyFont="1" applyFill="1" applyBorder="1"/>
    <xf numFmtId="0" fontId="12" fillId="0" borderId="0" xfId="0" applyFont="1" applyBorder="1" applyAlignment="1"/>
    <xf numFmtId="0" fontId="9" fillId="4" borderId="1" xfId="0" applyFont="1" applyFill="1" applyBorder="1" applyAlignment="1"/>
    <xf numFmtId="0" fontId="2" fillId="11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left" vertical="center"/>
    </xf>
    <xf numFmtId="0" fontId="1" fillId="11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DC3E6"/>
      <rgbColor rgb="FFF4B183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A9D18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abSelected="1" zoomScaleNormal="100" workbookViewId="0">
      <selection activeCell="A5" sqref="A5"/>
    </sheetView>
  </sheetViews>
  <sheetFormatPr baseColWidth="10" defaultColWidth="10.7109375" defaultRowHeight="15" x14ac:dyDescent="0.25"/>
  <cols>
    <col min="1" max="1" width="6" customWidth="1"/>
    <col min="2" max="2" width="27.140625" customWidth="1"/>
    <col min="3" max="3" width="10.7109375" customWidth="1"/>
    <col min="4" max="4" width="17.28515625" customWidth="1"/>
    <col min="5" max="5" width="12.140625" customWidth="1"/>
    <col min="6" max="6" width="11.140625" customWidth="1"/>
    <col min="7" max="7" width="15.5703125" style="57" customWidth="1"/>
    <col min="8" max="8" width="10.28515625" customWidth="1"/>
    <col min="9" max="9" width="11.140625" style="57" customWidth="1"/>
    <col min="10" max="10" width="11.5703125" customWidth="1"/>
    <col min="11" max="11" width="12.42578125" style="57" customWidth="1"/>
    <col min="12" max="12" width="10.28515625" style="57" customWidth="1"/>
    <col min="13" max="13" width="8.5703125" customWidth="1"/>
    <col min="14" max="14" width="8.85546875" customWidth="1"/>
    <col min="15" max="15" width="8.85546875" style="57" customWidth="1"/>
    <col min="16" max="16" width="10" customWidth="1"/>
    <col min="17" max="17" width="9.28515625" customWidth="1"/>
    <col min="18" max="18" width="13" customWidth="1"/>
    <col min="19" max="19" width="10.85546875" customWidth="1"/>
    <col min="20" max="20" width="12.85546875" customWidth="1"/>
    <col min="21" max="21" width="10.85546875" style="57" customWidth="1"/>
    <col min="22" max="22" width="12.5703125" style="57" customWidth="1"/>
    <col min="23" max="23" width="16" customWidth="1"/>
    <col min="24" max="25" width="10.85546875" style="57" customWidth="1"/>
    <col min="26" max="26" width="17" style="57" customWidth="1"/>
    <col min="27" max="27" width="20.85546875" customWidth="1"/>
  </cols>
  <sheetData>
    <row r="1" spans="1:27" ht="26.25" x14ac:dyDescent="0.4">
      <c r="A1" s="110" t="s">
        <v>51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</row>
    <row r="2" spans="1:27" ht="21.75" customHeight="1" x14ac:dyDescent="0.25">
      <c r="A2" s="1"/>
      <c r="C2" s="1"/>
      <c r="D2" s="1"/>
      <c r="E2" s="1"/>
      <c r="F2" s="1"/>
      <c r="G2" s="106" t="s">
        <v>0</v>
      </c>
      <c r="H2" s="1"/>
      <c r="I2" s="106" t="s">
        <v>0</v>
      </c>
      <c r="J2" s="1"/>
      <c r="K2" s="106" t="s">
        <v>0</v>
      </c>
      <c r="L2" s="106" t="s">
        <v>0</v>
      </c>
      <c r="M2" s="1"/>
      <c r="N2" s="1"/>
      <c r="O2" s="106" t="s">
        <v>0</v>
      </c>
      <c r="P2" s="1"/>
      <c r="Q2" s="1"/>
      <c r="R2" s="1"/>
      <c r="S2" s="1"/>
      <c r="T2" s="1"/>
      <c r="U2" s="106" t="s">
        <v>0</v>
      </c>
      <c r="V2" s="106" t="s">
        <v>0</v>
      </c>
      <c r="W2" s="1"/>
      <c r="X2" s="85"/>
      <c r="Y2" s="85"/>
      <c r="Z2" s="82"/>
      <c r="AA2" s="60"/>
    </row>
    <row r="3" spans="1:27" ht="22.5" customHeight="1" x14ac:dyDescent="0.25">
      <c r="A3" s="1"/>
      <c r="B3" s="47" t="s">
        <v>65</v>
      </c>
      <c r="C3" s="45">
        <v>0</v>
      </c>
      <c r="D3" s="48" t="s">
        <v>73</v>
      </c>
      <c r="E3" s="45">
        <v>0.18</v>
      </c>
      <c r="F3" s="3"/>
      <c r="G3" s="104" t="s">
        <v>2</v>
      </c>
      <c r="H3" s="4"/>
      <c r="I3" s="104" t="s">
        <v>3</v>
      </c>
      <c r="J3" s="4"/>
      <c r="K3" s="104" t="s">
        <v>4</v>
      </c>
      <c r="L3" s="105" t="s">
        <v>5</v>
      </c>
      <c r="M3" s="4"/>
      <c r="N3" s="4"/>
      <c r="O3" s="105" t="s">
        <v>6</v>
      </c>
      <c r="P3" s="107"/>
      <c r="Q3" s="4"/>
      <c r="R3" s="4"/>
      <c r="S3" s="4"/>
      <c r="T3" s="4"/>
      <c r="U3" s="63"/>
      <c r="V3" s="63" t="s">
        <v>3</v>
      </c>
      <c r="W3" s="4" t="s">
        <v>3</v>
      </c>
      <c r="X3" s="83"/>
      <c r="Y3" s="83"/>
      <c r="Z3" s="84"/>
      <c r="AA3" s="84"/>
    </row>
    <row r="4" spans="1:27" ht="24.75" customHeight="1" x14ac:dyDescent="0.25">
      <c r="A4" s="2"/>
      <c r="C4" s="2"/>
      <c r="D4" s="2"/>
      <c r="E4" s="37"/>
      <c r="F4" s="37"/>
      <c r="G4" s="106" t="s">
        <v>8</v>
      </c>
      <c r="H4" s="38"/>
      <c r="I4" s="64"/>
      <c r="J4" s="108" t="s">
        <v>9</v>
      </c>
      <c r="K4" s="108"/>
      <c r="L4" s="108"/>
      <c r="M4" s="108"/>
      <c r="N4" s="108"/>
      <c r="O4" s="108" t="s">
        <v>1</v>
      </c>
      <c r="P4" s="108"/>
      <c r="Q4" s="109" t="s">
        <v>70</v>
      </c>
      <c r="R4" s="109"/>
      <c r="S4" s="109"/>
      <c r="T4" s="109"/>
      <c r="U4" s="109"/>
      <c r="V4" s="46" t="s">
        <v>10</v>
      </c>
      <c r="W4" s="103" t="s">
        <v>11</v>
      </c>
      <c r="X4" s="85"/>
      <c r="Y4" s="85"/>
      <c r="Z4" s="60"/>
      <c r="AA4" s="60"/>
    </row>
    <row r="5" spans="1:27" s="25" customFormat="1" ht="58.5" customHeight="1" x14ac:dyDescent="0.25">
      <c r="A5" s="23" t="s">
        <v>12</v>
      </c>
      <c r="B5" s="44" t="s">
        <v>67</v>
      </c>
      <c r="C5" s="23" t="s">
        <v>68</v>
      </c>
      <c r="D5" s="22" t="s">
        <v>52</v>
      </c>
      <c r="E5" s="22" t="s">
        <v>56</v>
      </c>
      <c r="F5" s="26" t="s">
        <v>69</v>
      </c>
      <c r="G5" s="61" t="s">
        <v>77</v>
      </c>
      <c r="H5" s="27" t="s">
        <v>71</v>
      </c>
      <c r="I5" s="61" t="s">
        <v>72</v>
      </c>
      <c r="J5" s="24" t="s">
        <v>14</v>
      </c>
      <c r="K5" s="70" t="s">
        <v>15</v>
      </c>
      <c r="L5" s="70" t="s">
        <v>16</v>
      </c>
      <c r="M5" s="24" t="s">
        <v>17</v>
      </c>
      <c r="N5" s="24" t="s">
        <v>18</v>
      </c>
      <c r="O5" s="70" t="s">
        <v>19</v>
      </c>
      <c r="P5" s="24" t="s">
        <v>20</v>
      </c>
      <c r="Q5" s="27" t="s">
        <v>59</v>
      </c>
      <c r="R5" s="27" t="s">
        <v>60</v>
      </c>
      <c r="S5" s="27" t="s">
        <v>61</v>
      </c>
      <c r="T5" s="27" t="s">
        <v>58</v>
      </c>
      <c r="U5" s="61" t="s">
        <v>62</v>
      </c>
      <c r="V5" s="70" t="s">
        <v>63</v>
      </c>
      <c r="W5" s="43" t="s">
        <v>64</v>
      </c>
      <c r="X5" s="61" t="s">
        <v>75</v>
      </c>
      <c r="Y5" s="61" t="s">
        <v>76</v>
      </c>
      <c r="Z5" s="77" t="s">
        <v>74</v>
      </c>
      <c r="AA5" s="78" t="s">
        <v>7</v>
      </c>
    </row>
    <row r="6" spans="1:27" s="32" customFormat="1" ht="29.25" customHeight="1" x14ac:dyDescent="0.25">
      <c r="A6" s="33">
        <v>1</v>
      </c>
      <c r="B6" s="39" t="s">
        <v>21</v>
      </c>
      <c r="C6" s="40">
        <v>2</v>
      </c>
      <c r="D6" s="41" t="s">
        <v>21</v>
      </c>
      <c r="E6" s="34">
        <v>0</v>
      </c>
      <c r="F6" s="35">
        <v>118</v>
      </c>
      <c r="G6" s="62">
        <f t="shared" ref="G6:G14" si="0">+IF($D6="GRAVADO",($F6-$I6)/(1+$E$3+$H6),($F6-$I6)/(1+$H6))</f>
        <v>100</v>
      </c>
      <c r="H6" s="36">
        <v>0</v>
      </c>
      <c r="I6" s="65">
        <v>0</v>
      </c>
      <c r="J6" s="28">
        <f t="shared" ref="J6:J14" si="1">$C6*$G6</f>
        <v>200</v>
      </c>
      <c r="K6" s="65">
        <f t="shared" ref="K6:K14" si="2">$J6*$E6</f>
        <v>0</v>
      </c>
      <c r="L6" s="65">
        <f t="shared" ref="L6:L14" si="3">$J6-$K6</f>
        <v>200</v>
      </c>
      <c r="M6" s="28">
        <f t="shared" ref="M6:M14" si="4">IF($D6="GRATUITO",0,$C$3*$L6)</f>
        <v>0</v>
      </c>
      <c r="N6" s="28">
        <f t="shared" ref="N6:N14" si="5">$L6-$M6</f>
        <v>200</v>
      </c>
      <c r="O6" s="65">
        <f t="shared" ref="O6:O14" si="6">IF($D6="GRAVADO",($L6)*$E$3,0)</f>
        <v>36</v>
      </c>
      <c r="P6" s="28">
        <f t="shared" ref="P6:P14" si="7">IF($D6="GRAVADO",($N6)*$E$3,0)</f>
        <v>36</v>
      </c>
      <c r="Q6" s="29">
        <f t="shared" ref="Q6:Q14" si="8">$C6*$H6*$G6</f>
        <v>0</v>
      </c>
      <c r="R6" s="30">
        <f t="shared" ref="R6:R14" si="9">+$Q6*$E6</f>
        <v>0</v>
      </c>
      <c r="S6" s="30">
        <f t="shared" ref="S6:S14" si="10">$Q6-$R6</f>
        <v>0</v>
      </c>
      <c r="T6" s="30">
        <f t="shared" ref="T6:T14" si="11">IF(D6="GRATUITO",0,S6*$C$3)</f>
        <v>0</v>
      </c>
      <c r="U6" s="65">
        <f t="shared" ref="U6:U14" si="12">+$S6-$T6</f>
        <v>0</v>
      </c>
      <c r="V6" s="65">
        <f t="shared" ref="V6:V14" si="13">+C6*I6</f>
        <v>0</v>
      </c>
      <c r="W6" s="31">
        <f t="shared" ref="W6:W14" si="14">$L6+$O6+$S6+$V6</f>
        <v>236</v>
      </c>
      <c r="X6" s="79" t="str">
        <f t="shared" ref="X6:X14" si="15">+IF(D6="GRAVADO","00","01")</f>
        <v>00</v>
      </c>
      <c r="Y6" s="79" t="str">
        <f t="shared" ref="Y6:Y14" si="16">+IF(D6="GRAVADO","02","03")</f>
        <v>02</v>
      </c>
      <c r="Z6" s="80">
        <f t="shared" ref="Z6:Z14" si="17">+IF(C6="","",($W6-$S6)/$C6)</f>
        <v>118</v>
      </c>
      <c r="AA6" s="81">
        <f t="shared" ref="AA6:AA14" si="18">+IF($D6="GRATUITO",0,$G6)</f>
        <v>100</v>
      </c>
    </row>
    <row r="7" spans="1:27" s="32" customFormat="1" ht="29.25" customHeight="1" x14ac:dyDescent="0.25">
      <c r="A7" s="33">
        <v>2</v>
      </c>
      <c r="B7" s="42" t="s">
        <v>57</v>
      </c>
      <c r="C7" s="40">
        <v>2</v>
      </c>
      <c r="D7" s="41" t="s">
        <v>21</v>
      </c>
      <c r="E7" s="34">
        <v>0.5</v>
      </c>
      <c r="F7" s="35">
        <v>118</v>
      </c>
      <c r="G7" s="62">
        <f t="shared" si="0"/>
        <v>100</v>
      </c>
      <c r="H7" s="36">
        <v>0</v>
      </c>
      <c r="I7" s="65">
        <v>0</v>
      </c>
      <c r="J7" s="28">
        <f t="shared" si="1"/>
        <v>200</v>
      </c>
      <c r="K7" s="65">
        <f t="shared" si="2"/>
        <v>100</v>
      </c>
      <c r="L7" s="65">
        <f t="shared" si="3"/>
        <v>100</v>
      </c>
      <c r="M7" s="28">
        <f t="shared" si="4"/>
        <v>0</v>
      </c>
      <c r="N7" s="28">
        <f t="shared" si="5"/>
        <v>100</v>
      </c>
      <c r="O7" s="65">
        <f t="shared" si="6"/>
        <v>18</v>
      </c>
      <c r="P7" s="28">
        <f t="shared" si="7"/>
        <v>18</v>
      </c>
      <c r="Q7" s="29">
        <f t="shared" si="8"/>
        <v>0</v>
      </c>
      <c r="R7" s="30">
        <f t="shared" si="9"/>
        <v>0</v>
      </c>
      <c r="S7" s="30">
        <f t="shared" si="10"/>
        <v>0</v>
      </c>
      <c r="T7" s="30">
        <f t="shared" si="11"/>
        <v>0</v>
      </c>
      <c r="U7" s="65">
        <f t="shared" si="12"/>
        <v>0</v>
      </c>
      <c r="V7" s="65">
        <f t="shared" si="13"/>
        <v>0</v>
      </c>
      <c r="W7" s="31">
        <f t="shared" si="14"/>
        <v>118</v>
      </c>
      <c r="X7" s="79" t="str">
        <f t="shared" si="15"/>
        <v>00</v>
      </c>
      <c r="Y7" s="79" t="str">
        <f t="shared" si="16"/>
        <v>02</v>
      </c>
      <c r="Z7" s="80">
        <f t="shared" si="17"/>
        <v>59</v>
      </c>
      <c r="AA7" s="81">
        <f t="shared" si="18"/>
        <v>100</v>
      </c>
    </row>
    <row r="8" spans="1:27" s="25" customFormat="1" ht="29.25" customHeight="1" x14ac:dyDescent="0.25">
      <c r="A8" s="33">
        <v>3</v>
      </c>
      <c r="B8" s="42" t="s">
        <v>50</v>
      </c>
      <c r="C8" s="40">
        <v>2</v>
      </c>
      <c r="D8" s="41" t="s">
        <v>21</v>
      </c>
      <c r="E8" s="34"/>
      <c r="F8" s="35">
        <v>131</v>
      </c>
      <c r="G8" s="62">
        <f t="shared" si="0"/>
        <v>100</v>
      </c>
      <c r="H8" s="36">
        <v>0.13</v>
      </c>
      <c r="I8" s="66">
        <v>0</v>
      </c>
      <c r="J8" s="28">
        <f t="shared" si="1"/>
        <v>200</v>
      </c>
      <c r="K8" s="65">
        <f t="shared" si="2"/>
        <v>0</v>
      </c>
      <c r="L8" s="65">
        <f t="shared" si="3"/>
        <v>200</v>
      </c>
      <c r="M8" s="28">
        <f t="shared" si="4"/>
        <v>0</v>
      </c>
      <c r="N8" s="28">
        <f t="shared" si="5"/>
        <v>200</v>
      </c>
      <c r="O8" s="65">
        <f t="shared" si="6"/>
        <v>36</v>
      </c>
      <c r="P8" s="28">
        <f t="shared" si="7"/>
        <v>36</v>
      </c>
      <c r="Q8" s="29">
        <f t="shared" si="8"/>
        <v>26</v>
      </c>
      <c r="R8" s="30">
        <f t="shared" si="9"/>
        <v>0</v>
      </c>
      <c r="S8" s="30">
        <f t="shared" si="10"/>
        <v>26</v>
      </c>
      <c r="T8" s="30">
        <f t="shared" si="11"/>
        <v>0</v>
      </c>
      <c r="U8" s="65">
        <f t="shared" si="12"/>
        <v>26</v>
      </c>
      <c r="V8" s="65">
        <f t="shared" si="13"/>
        <v>0</v>
      </c>
      <c r="W8" s="31">
        <f t="shared" si="14"/>
        <v>262</v>
      </c>
      <c r="X8" s="79" t="str">
        <f t="shared" si="15"/>
        <v>00</v>
      </c>
      <c r="Y8" s="79" t="str">
        <f t="shared" si="16"/>
        <v>02</v>
      </c>
      <c r="Z8" s="80">
        <f t="shared" si="17"/>
        <v>118</v>
      </c>
      <c r="AA8" s="81">
        <f t="shared" si="18"/>
        <v>100</v>
      </c>
    </row>
    <row r="9" spans="1:27" s="25" customFormat="1" ht="29.25" customHeight="1" x14ac:dyDescent="0.25">
      <c r="A9" s="33">
        <v>4</v>
      </c>
      <c r="B9" s="42" t="s">
        <v>53</v>
      </c>
      <c r="C9" s="40">
        <v>2</v>
      </c>
      <c r="D9" s="41" t="s">
        <v>21</v>
      </c>
      <c r="E9" s="34"/>
      <c r="F9" s="35">
        <v>118.5</v>
      </c>
      <c r="G9" s="62">
        <f t="shared" si="0"/>
        <v>100</v>
      </c>
      <c r="H9" s="36"/>
      <c r="I9" s="66">
        <v>0.5</v>
      </c>
      <c r="J9" s="28">
        <f t="shared" si="1"/>
        <v>200</v>
      </c>
      <c r="K9" s="65">
        <f t="shared" si="2"/>
        <v>0</v>
      </c>
      <c r="L9" s="65">
        <f t="shared" si="3"/>
        <v>200</v>
      </c>
      <c r="M9" s="28">
        <f t="shared" si="4"/>
        <v>0</v>
      </c>
      <c r="N9" s="28">
        <f t="shared" si="5"/>
        <v>200</v>
      </c>
      <c r="O9" s="65">
        <f t="shared" si="6"/>
        <v>36</v>
      </c>
      <c r="P9" s="28">
        <f t="shared" si="7"/>
        <v>36</v>
      </c>
      <c r="Q9" s="29">
        <f t="shared" si="8"/>
        <v>0</v>
      </c>
      <c r="R9" s="30">
        <f t="shared" si="9"/>
        <v>0</v>
      </c>
      <c r="S9" s="30">
        <f t="shared" si="10"/>
        <v>0</v>
      </c>
      <c r="T9" s="30">
        <f t="shared" si="11"/>
        <v>0</v>
      </c>
      <c r="U9" s="65">
        <f t="shared" si="12"/>
        <v>0</v>
      </c>
      <c r="V9" s="65">
        <f t="shared" si="13"/>
        <v>1</v>
      </c>
      <c r="W9" s="31">
        <f t="shared" si="14"/>
        <v>237</v>
      </c>
      <c r="X9" s="79" t="str">
        <f t="shared" si="15"/>
        <v>00</v>
      </c>
      <c r="Y9" s="79" t="str">
        <f t="shared" si="16"/>
        <v>02</v>
      </c>
      <c r="Z9" s="80">
        <f t="shared" si="17"/>
        <v>118.5</v>
      </c>
      <c r="AA9" s="81">
        <f t="shared" si="18"/>
        <v>100</v>
      </c>
    </row>
    <row r="10" spans="1:27" s="25" customFormat="1" ht="29.25" customHeight="1" x14ac:dyDescent="0.25">
      <c r="A10" s="33">
        <v>5</v>
      </c>
      <c r="B10" s="42" t="s">
        <v>54</v>
      </c>
      <c r="C10" s="40">
        <v>2</v>
      </c>
      <c r="D10" s="41" t="s">
        <v>24</v>
      </c>
      <c r="E10" s="34"/>
      <c r="F10" s="35">
        <v>5.9</v>
      </c>
      <c r="G10" s="62">
        <f t="shared" si="0"/>
        <v>5.9</v>
      </c>
      <c r="H10" s="36"/>
      <c r="I10" s="66"/>
      <c r="J10" s="28">
        <f t="shared" si="1"/>
        <v>11.8</v>
      </c>
      <c r="K10" s="65">
        <f t="shared" si="2"/>
        <v>0</v>
      </c>
      <c r="L10" s="65">
        <f t="shared" si="3"/>
        <v>11.8</v>
      </c>
      <c r="M10" s="28">
        <f t="shared" si="4"/>
        <v>0</v>
      </c>
      <c r="N10" s="28">
        <f t="shared" si="5"/>
        <v>11.8</v>
      </c>
      <c r="O10" s="65">
        <f t="shared" si="6"/>
        <v>0</v>
      </c>
      <c r="P10" s="28">
        <f t="shared" si="7"/>
        <v>0</v>
      </c>
      <c r="Q10" s="29">
        <f t="shared" si="8"/>
        <v>0</v>
      </c>
      <c r="R10" s="30">
        <f t="shared" si="9"/>
        <v>0</v>
      </c>
      <c r="S10" s="30">
        <f t="shared" si="10"/>
        <v>0</v>
      </c>
      <c r="T10" s="30">
        <f t="shared" si="11"/>
        <v>0</v>
      </c>
      <c r="U10" s="65">
        <f t="shared" si="12"/>
        <v>0</v>
      </c>
      <c r="V10" s="65">
        <f t="shared" si="13"/>
        <v>0</v>
      </c>
      <c r="W10" s="31">
        <f t="shared" si="14"/>
        <v>11.8</v>
      </c>
      <c r="X10" s="79" t="str">
        <f t="shared" si="15"/>
        <v>01</v>
      </c>
      <c r="Y10" s="79" t="str">
        <f t="shared" si="16"/>
        <v>03</v>
      </c>
      <c r="Z10" s="80">
        <f t="shared" si="17"/>
        <v>5.9</v>
      </c>
      <c r="AA10" s="81">
        <f t="shared" si="18"/>
        <v>0</v>
      </c>
    </row>
    <row r="11" spans="1:27" s="25" customFormat="1" ht="29.25" customHeight="1" x14ac:dyDescent="0.25">
      <c r="A11" s="33">
        <v>6</v>
      </c>
      <c r="B11" s="39" t="s">
        <v>22</v>
      </c>
      <c r="C11" s="40">
        <v>2</v>
      </c>
      <c r="D11" s="41" t="s">
        <v>22</v>
      </c>
      <c r="E11" s="34"/>
      <c r="F11" s="35">
        <v>100</v>
      </c>
      <c r="G11" s="62">
        <f t="shared" si="0"/>
        <v>100</v>
      </c>
      <c r="H11" s="36"/>
      <c r="I11" s="66"/>
      <c r="J11" s="28">
        <f t="shared" si="1"/>
        <v>200</v>
      </c>
      <c r="K11" s="65">
        <f t="shared" si="2"/>
        <v>0</v>
      </c>
      <c r="L11" s="65">
        <f t="shared" si="3"/>
        <v>200</v>
      </c>
      <c r="M11" s="28">
        <f t="shared" si="4"/>
        <v>0</v>
      </c>
      <c r="N11" s="28">
        <f t="shared" si="5"/>
        <v>200</v>
      </c>
      <c r="O11" s="65">
        <f t="shared" si="6"/>
        <v>0</v>
      </c>
      <c r="P11" s="28">
        <f t="shared" si="7"/>
        <v>0</v>
      </c>
      <c r="Q11" s="29">
        <f t="shared" si="8"/>
        <v>0</v>
      </c>
      <c r="R11" s="30">
        <f t="shared" si="9"/>
        <v>0</v>
      </c>
      <c r="S11" s="30">
        <f t="shared" si="10"/>
        <v>0</v>
      </c>
      <c r="T11" s="30">
        <f t="shared" si="11"/>
        <v>0</v>
      </c>
      <c r="U11" s="65">
        <f t="shared" si="12"/>
        <v>0</v>
      </c>
      <c r="V11" s="65">
        <f t="shared" si="13"/>
        <v>0</v>
      </c>
      <c r="W11" s="31">
        <f t="shared" si="14"/>
        <v>200</v>
      </c>
      <c r="X11" s="79" t="str">
        <f t="shared" si="15"/>
        <v>01</v>
      </c>
      <c r="Y11" s="79" t="str">
        <f t="shared" si="16"/>
        <v>03</v>
      </c>
      <c r="Z11" s="80">
        <f t="shared" si="17"/>
        <v>100</v>
      </c>
      <c r="AA11" s="81">
        <f t="shared" si="18"/>
        <v>100</v>
      </c>
    </row>
    <row r="12" spans="1:27" s="25" customFormat="1" ht="29.25" customHeight="1" x14ac:dyDescent="0.25">
      <c r="A12" s="33">
        <v>7</v>
      </c>
      <c r="B12" s="42" t="s">
        <v>66</v>
      </c>
      <c r="C12" s="40">
        <v>2</v>
      </c>
      <c r="D12" s="41" t="s">
        <v>22</v>
      </c>
      <c r="E12" s="34">
        <v>0.5</v>
      </c>
      <c r="F12" s="35">
        <v>100</v>
      </c>
      <c r="G12" s="62">
        <f t="shared" si="0"/>
        <v>100</v>
      </c>
      <c r="H12" s="36"/>
      <c r="I12" s="66"/>
      <c r="J12" s="28">
        <f t="shared" si="1"/>
        <v>200</v>
      </c>
      <c r="K12" s="65">
        <f t="shared" si="2"/>
        <v>100</v>
      </c>
      <c r="L12" s="65">
        <f t="shared" si="3"/>
        <v>100</v>
      </c>
      <c r="M12" s="28">
        <f t="shared" si="4"/>
        <v>0</v>
      </c>
      <c r="N12" s="28">
        <f t="shared" si="5"/>
        <v>100</v>
      </c>
      <c r="O12" s="65">
        <f t="shared" si="6"/>
        <v>0</v>
      </c>
      <c r="P12" s="28">
        <f t="shared" si="7"/>
        <v>0</v>
      </c>
      <c r="Q12" s="29">
        <f t="shared" si="8"/>
        <v>0</v>
      </c>
      <c r="R12" s="30">
        <f t="shared" si="9"/>
        <v>0</v>
      </c>
      <c r="S12" s="30">
        <f t="shared" si="10"/>
        <v>0</v>
      </c>
      <c r="T12" s="30">
        <f t="shared" si="11"/>
        <v>0</v>
      </c>
      <c r="U12" s="65">
        <f t="shared" si="12"/>
        <v>0</v>
      </c>
      <c r="V12" s="65">
        <f t="shared" si="13"/>
        <v>0</v>
      </c>
      <c r="W12" s="31">
        <f t="shared" si="14"/>
        <v>100</v>
      </c>
      <c r="X12" s="79" t="str">
        <f t="shared" si="15"/>
        <v>01</v>
      </c>
      <c r="Y12" s="79" t="str">
        <f t="shared" si="16"/>
        <v>03</v>
      </c>
      <c r="Z12" s="80">
        <f t="shared" si="17"/>
        <v>50</v>
      </c>
      <c r="AA12" s="81">
        <f t="shared" si="18"/>
        <v>100</v>
      </c>
    </row>
    <row r="13" spans="1:27" s="25" customFormat="1" ht="29.25" customHeight="1" x14ac:dyDescent="0.25">
      <c r="A13" s="33">
        <v>8</v>
      </c>
      <c r="B13" s="42" t="s">
        <v>55</v>
      </c>
      <c r="C13" s="40">
        <v>2</v>
      </c>
      <c r="D13" s="41" t="s">
        <v>24</v>
      </c>
      <c r="E13" s="34"/>
      <c r="F13" s="35">
        <v>100</v>
      </c>
      <c r="G13" s="62">
        <f t="shared" si="0"/>
        <v>100</v>
      </c>
      <c r="H13" s="36"/>
      <c r="I13" s="66"/>
      <c r="J13" s="28">
        <f t="shared" si="1"/>
        <v>200</v>
      </c>
      <c r="K13" s="65">
        <f t="shared" si="2"/>
        <v>0</v>
      </c>
      <c r="L13" s="65">
        <f t="shared" si="3"/>
        <v>200</v>
      </c>
      <c r="M13" s="28">
        <f t="shared" si="4"/>
        <v>0</v>
      </c>
      <c r="N13" s="28">
        <f t="shared" si="5"/>
        <v>200</v>
      </c>
      <c r="O13" s="65">
        <f t="shared" si="6"/>
        <v>0</v>
      </c>
      <c r="P13" s="28">
        <f t="shared" si="7"/>
        <v>0</v>
      </c>
      <c r="Q13" s="29">
        <f t="shared" si="8"/>
        <v>0</v>
      </c>
      <c r="R13" s="30">
        <f t="shared" si="9"/>
        <v>0</v>
      </c>
      <c r="S13" s="30">
        <f t="shared" si="10"/>
        <v>0</v>
      </c>
      <c r="T13" s="30">
        <f t="shared" si="11"/>
        <v>0</v>
      </c>
      <c r="U13" s="65">
        <f t="shared" si="12"/>
        <v>0</v>
      </c>
      <c r="V13" s="65">
        <f t="shared" si="13"/>
        <v>0</v>
      </c>
      <c r="W13" s="31">
        <f t="shared" si="14"/>
        <v>200</v>
      </c>
      <c r="X13" s="79" t="str">
        <f t="shared" si="15"/>
        <v>01</v>
      </c>
      <c r="Y13" s="79" t="str">
        <f t="shared" si="16"/>
        <v>03</v>
      </c>
      <c r="Z13" s="80">
        <f t="shared" si="17"/>
        <v>100</v>
      </c>
      <c r="AA13" s="81">
        <f t="shared" si="18"/>
        <v>0</v>
      </c>
    </row>
    <row r="14" spans="1:27" s="25" customFormat="1" ht="29.25" customHeight="1" x14ac:dyDescent="0.25">
      <c r="A14" s="33">
        <v>9</v>
      </c>
      <c r="B14" s="39" t="s">
        <v>49</v>
      </c>
      <c r="C14" s="40">
        <v>2</v>
      </c>
      <c r="D14" s="41" t="s">
        <v>49</v>
      </c>
      <c r="E14" s="34"/>
      <c r="F14" s="35">
        <v>100</v>
      </c>
      <c r="G14" s="62">
        <f t="shared" si="0"/>
        <v>100</v>
      </c>
      <c r="H14" s="36">
        <v>0</v>
      </c>
      <c r="I14" s="66">
        <v>0</v>
      </c>
      <c r="J14" s="28">
        <f t="shared" si="1"/>
        <v>200</v>
      </c>
      <c r="K14" s="65">
        <f t="shared" si="2"/>
        <v>0</v>
      </c>
      <c r="L14" s="65">
        <f t="shared" si="3"/>
        <v>200</v>
      </c>
      <c r="M14" s="28">
        <f t="shared" si="4"/>
        <v>0</v>
      </c>
      <c r="N14" s="28">
        <f t="shared" si="5"/>
        <v>200</v>
      </c>
      <c r="O14" s="65">
        <f t="shared" si="6"/>
        <v>0</v>
      </c>
      <c r="P14" s="28">
        <f t="shared" si="7"/>
        <v>0</v>
      </c>
      <c r="Q14" s="29">
        <f t="shared" si="8"/>
        <v>0</v>
      </c>
      <c r="R14" s="30">
        <f t="shared" si="9"/>
        <v>0</v>
      </c>
      <c r="S14" s="30">
        <f t="shared" si="10"/>
        <v>0</v>
      </c>
      <c r="T14" s="30">
        <f t="shared" si="11"/>
        <v>0</v>
      </c>
      <c r="U14" s="65">
        <f t="shared" si="12"/>
        <v>0</v>
      </c>
      <c r="V14" s="65">
        <f t="shared" si="13"/>
        <v>0</v>
      </c>
      <c r="W14" s="31">
        <f t="shared" si="14"/>
        <v>200</v>
      </c>
      <c r="X14" s="79" t="str">
        <f t="shared" si="15"/>
        <v>01</v>
      </c>
      <c r="Y14" s="79" t="str">
        <f t="shared" si="16"/>
        <v>03</v>
      </c>
      <c r="Z14" s="80">
        <f t="shared" si="17"/>
        <v>100</v>
      </c>
      <c r="AA14" s="81">
        <f t="shared" si="18"/>
        <v>100</v>
      </c>
    </row>
    <row r="15" spans="1:27" s="25" customFormat="1" ht="17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B16" s="1"/>
      <c r="C16" s="1"/>
      <c r="D16" s="1"/>
      <c r="E16" s="1"/>
      <c r="F16" s="5"/>
      <c r="G16" s="58"/>
      <c r="H16" s="6"/>
      <c r="I16" s="58"/>
      <c r="J16" s="5"/>
      <c r="L16" s="67"/>
      <c r="O16" s="53"/>
      <c r="P16" s="5"/>
      <c r="Q16" s="49" t="s">
        <v>23</v>
      </c>
      <c r="R16" s="52"/>
      <c r="S16" s="53"/>
      <c r="T16" s="53"/>
      <c r="U16" s="53"/>
      <c r="V16" s="53"/>
      <c r="W16" s="8">
        <f>SUMIF($D$6:$D$14,"GRAVADO",$N$6:$N$14)</f>
        <v>700</v>
      </c>
      <c r="X16" s="72"/>
      <c r="Y16" s="72"/>
    </row>
    <row r="17" spans="1:25" x14ac:dyDescent="0.25">
      <c r="B17" s="2"/>
      <c r="E17" s="1"/>
      <c r="F17" s="5"/>
      <c r="G17" s="58"/>
      <c r="H17" s="6"/>
      <c r="I17" s="58"/>
      <c r="J17" s="5"/>
      <c r="L17" s="67"/>
      <c r="O17" s="53"/>
      <c r="P17" s="5"/>
      <c r="Q17" s="49" t="s">
        <v>25</v>
      </c>
      <c r="R17" s="50"/>
      <c r="S17" s="5"/>
      <c r="T17" s="5"/>
      <c r="U17" s="53"/>
      <c r="V17" s="53"/>
      <c r="W17" s="8">
        <f>SUMIF($D$6:$D$14,"EXONERADO",$N$6:$N$14)</f>
        <v>300</v>
      </c>
      <c r="X17" s="72"/>
      <c r="Y17" s="72"/>
    </row>
    <row r="18" spans="1:25" ht="21" x14ac:dyDescent="0.35">
      <c r="A18" s="100"/>
      <c r="B18" s="102" t="s">
        <v>79</v>
      </c>
      <c r="C18" s="100"/>
      <c r="D18" s="100"/>
      <c r="E18" s="9"/>
      <c r="F18" s="10"/>
      <c r="G18" s="59"/>
      <c r="H18" s="54"/>
      <c r="I18" s="58"/>
      <c r="J18" s="6"/>
      <c r="K18" s="68"/>
      <c r="L18" s="69"/>
      <c r="P18" s="11"/>
      <c r="Q18" s="49" t="s">
        <v>26</v>
      </c>
      <c r="R18" s="51"/>
      <c r="S18" s="12"/>
      <c r="T18" s="12"/>
      <c r="U18" s="71"/>
      <c r="V18" s="71"/>
      <c r="W18" s="99">
        <f>SUMIF($D$6:$D$14,"INAFECTO",$N$6:$N$14)</f>
        <v>200</v>
      </c>
      <c r="X18" s="73"/>
      <c r="Y18" s="73"/>
    </row>
    <row r="19" spans="1:25" x14ac:dyDescent="0.25">
      <c r="A19" s="55"/>
      <c r="B19" s="101"/>
      <c r="C19" s="49" t="s">
        <v>78</v>
      </c>
      <c r="D19" s="55"/>
      <c r="E19" s="56"/>
      <c r="F19" s="56"/>
      <c r="G19" s="59"/>
      <c r="H19" s="6"/>
      <c r="I19" s="58"/>
      <c r="J19" s="6"/>
      <c r="L19" s="58"/>
      <c r="P19" s="11"/>
      <c r="Q19" s="49" t="s">
        <v>27</v>
      </c>
      <c r="R19" s="51"/>
      <c r="S19" s="12"/>
      <c r="T19" s="12"/>
      <c r="U19" s="71"/>
      <c r="V19" s="71"/>
      <c r="W19" s="13">
        <f>SUMIF($D$6:$D$14,"EXPORTACION",$N$6:$N$14)</f>
        <v>0</v>
      </c>
      <c r="X19" s="73"/>
      <c r="Y19" s="73"/>
    </row>
    <row r="20" spans="1:25" x14ac:dyDescent="0.25">
      <c r="A20" s="14"/>
      <c r="B20" s="6"/>
      <c r="C20" s="6"/>
      <c r="D20" s="6"/>
      <c r="G20" s="59"/>
      <c r="P20" s="11"/>
      <c r="Q20" s="49" t="s">
        <v>28</v>
      </c>
      <c r="R20" s="51"/>
      <c r="S20" s="6"/>
      <c r="T20" s="6"/>
      <c r="U20" s="58"/>
      <c r="V20" s="58"/>
      <c r="W20" s="8">
        <f>SUM(K6:K14)+SUM(M6:M14)+SUM(R6:R14)+SUM(T6:T14)</f>
        <v>200</v>
      </c>
      <c r="X20" s="72"/>
      <c r="Y20" s="72"/>
    </row>
    <row r="21" spans="1:25" x14ac:dyDescent="0.25">
      <c r="A21" s="6"/>
      <c r="B21" s="6"/>
      <c r="C21" s="6"/>
      <c r="D21" s="6"/>
      <c r="G21" s="59"/>
      <c r="P21" s="11"/>
      <c r="Q21" s="49" t="s">
        <v>29</v>
      </c>
      <c r="R21" s="51"/>
      <c r="S21" s="6"/>
      <c r="T21" s="6"/>
      <c r="U21" s="58"/>
      <c r="V21" s="58"/>
      <c r="W21" s="8">
        <f>+SUM(M6:M14)+SUM(T6:T14)</f>
        <v>0</v>
      </c>
      <c r="X21" s="72"/>
      <c r="Y21" s="72"/>
    </row>
    <row r="22" spans="1:25" x14ac:dyDescent="0.25">
      <c r="G22" s="60"/>
      <c r="J22" s="86" t="s">
        <v>30</v>
      </c>
      <c r="K22" s="75"/>
      <c r="L22" s="75"/>
      <c r="M22" s="87"/>
      <c r="N22" s="87"/>
      <c r="O22" s="75"/>
      <c r="P22" s="95"/>
      <c r="Q22" s="76" t="s">
        <v>31</v>
      </c>
      <c r="R22" s="95"/>
      <c r="S22" s="95"/>
      <c r="T22" s="95"/>
      <c r="U22" s="96"/>
      <c r="V22" s="96"/>
      <c r="W22" s="90"/>
      <c r="X22" s="91"/>
      <c r="Y22" s="92">
        <f>+SUMIF($Y$6:$Y$14,"03",$M$6:$M$14)</f>
        <v>0</v>
      </c>
    </row>
    <row r="23" spans="1:25" x14ac:dyDescent="0.25">
      <c r="G23" s="60"/>
      <c r="J23" s="86"/>
      <c r="K23" s="75"/>
      <c r="L23" s="75"/>
      <c r="M23" s="87"/>
      <c r="N23" s="87"/>
      <c r="O23" s="75"/>
      <c r="P23" s="95"/>
      <c r="Q23" s="76" t="s">
        <v>33</v>
      </c>
      <c r="R23" s="95"/>
      <c r="S23" s="95"/>
      <c r="T23" s="95"/>
      <c r="U23" s="96"/>
      <c r="V23" s="96"/>
      <c r="W23" s="90"/>
      <c r="X23" s="91"/>
      <c r="Y23" s="92">
        <f>+SUMIF($X$6:$X$14,"01",$K$6:$K$14)</f>
        <v>100</v>
      </c>
    </row>
    <row r="24" spans="1:25" x14ac:dyDescent="0.25">
      <c r="A24" s="14"/>
      <c r="B24" s="6"/>
      <c r="C24" s="6"/>
      <c r="D24" s="6"/>
      <c r="G24" s="59"/>
      <c r="J24" s="86" t="s">
        <v>34</v>
      </c>
      <c r="K24" s="75"/>
      <c r="L24" s="75"/>
      <c r="M24" s="87"/>
      <c r="N24" s="87"/>
      <c r="O24" s="75"/>
      <c r="P24" s="95"/>
      <c r="Q24" s="76" t="s">
        <v>35</v>
      </c>
      <c r="R24" s="95"/>
      <c r="S24" s="95"/>
      <c r="T24" s="95"/>
      <c r="U24" s="96"/>
      <c r="V24" s="96"/>
      <c r="W24" s="90"/>
      <c r="X24" s="91"/>
      <c r="Y24" s="92">
        <f>+W16+W17+W18+W19+Y29</f>
        <v>1300</v>
      </c>
    </row>
    <row r="25" spans="1:25" x14ac:dyDescent="0.25">
      <c r="A25" s="15"/>
      <c r="B25" s="16"/>
      <c r="C25" s="16"/>
      <c r="D25" s="17"/>
      <c r="E25" s="17"/>
      <c r="F25" s="17"/>
      <c r="G25" s="60"/>
      <c r="Q25" s="7" t="s">
        <v>1</v>
      </c>
      <c r="W25" s="8">
        <f>SUM(P6:P14)</f>
        <v>126</v>
      </c>
      <c r="X25" s="72"/>
      <c r="Y25" s="72"/>
    </row>
    <row r="26" spans="1:25" x14ac:dyDescent="0.25">
      <c r="A26" s="15"/>
      <c r="B26" s="16"/>
      <c r="C26" s="16"/>
      <c r="D26" s="17"/>
      <c r="E26" s="17"/>
      <c r="F26" s="17"/>
      <c r="G26" s="60"/>
      <c r="Q26" s="97" t="s">
        <v>13</v>
      </c>
      <c r="R26" s="57"/>
      <c r="S26" s="57"/>
      <c r="T26" s="57"/>
      <c r="W26" s="98">
        <f>+SUM(V6:V14)</f>
        <v>1</v>
      </c>
      <c r="X26" s="72"/>
      <c r="Y26" s="72"/>
    </row>
    <row r="27" spans="1:25" x14ac:dyDescent="0.25">
      <c r="A27" s="9"/>
      <c r="B27" s="9"/>
      <c r="C27" s="9"/>
      <c r="D27" s="17"/>
      <c r="E27" s="17"/>
      <c r="F27" s="17"/>
      <c r="G27" s="60"/>
      <c r="Q27" s="7" t="s">
        <v>36</v>
      </c>
      <c r="W27" s="8">
        <f>SUM(W25:W26)</f>
        <v>127</v>
      </c>
      <c r="X27" s="72"/>
      <c r="Y27" s="72"/>
    </row>
    <row r="28" spans="1:25" x14ac:dyDescent="0.25">
      <c r="A28" s="9"/>
      <c r="B28" s="9"/>
      <c r="C28" s="9"/>
      <c r="D28" s="17"/>
      <c r="E28" s="17"/>
      <c r="F28" s="17"/>
      <c r="G28" s="60"/>
      <c r="J28" s="86" t="s">
        <v>37</v>
      </c>
      <c r="K28" s="75"/>
      <c r="L28" s="75"/>
      <c r="M28" s="87"/>
      <c r="N28" s="87"/>
      <c r="O28" s="75"/>
      <c r="P28" s="95"/>
      <c r="Q28" s="76" t="s">
        <v>32</v>
      </c>
      <c r="R28" s="95"/>
      <c r="S28" s="95"/>
      <c r="T28" s="95"/>
      <c r="U28" s="96"/>
      <c r="V28" s="96"/>
      <c r="W28" s="90"/>
      <c r="X28" s="91"/>
      <c r="Y28" s="92">
        <f>+Y24+W27</f>
        <v>1427</v>
      </c>
    </row>
    <row r="29" spans="1:25" x14ac:dyDescent="0.25">
      <c r="A29" s="9"/>
      <c r="B29" s="9"/>
      <c r="C29" s="9"/>
      <c r="D29" s="17"/>
      <c r="E29" s="17"/>
      <c r="F29" s="17"/>
      <c r="G29" s="60"/>
      <c r="J29" s="86" t="s">
        <v>38</v>
      </c>
      <c r="K29" s="75"/>
      <c r="L29" s="75"/>
      <c r="M29" s="87"/>
      <c r="N29" s="87"/>
      <c r="O29" s="75"/>
      <c r="P29" s="95"/>
      <c r="Q29" s="76" t="s">
        <v>39</v>
      </c>
      <c r="R29" s="95"/>
      <c r="S29" s="95"/>
      <c r="T29" s="95"/>
      <c r="U29" s="96"/>
      <c r="V29" s="96"/>
      <c r="W29" s="90"/>
      <c r="X29" s="91"/>
      <c r="Y29" s="92">
        <f>+Y22+Y23</f>
        <v>100</v>
      </c>
    </row>
    <row r="30" spans="1:25" x14ac:dyDescent="0.25">
      <c r="A30" s="9"/>
      <c r="B30" s="9"/>
      <c r="C30" s="9"/>
      <c r="D30" s="17"/>
      <c r="E30" s="17"/>
      <c r="F30" s="17"/>
      <c r="G30" s="60"/>
      <c r="Q30" s="7" t="s">
        <v>40</v>
      </c>
      <c r="W30" s="8">
        <f>SUMIF($D$6:$D$14,"GRATUITO",$L$6:$L$14)</f>
        <v>211.8</v>
      </c>
      <c r="X30" s="72"/>
      <c r="Y30" s="72"/>
    </row>
    <row r="31" spans="1:25" x14ac:dyDescent="0.25">
      <c r="A31" s="9"/>
      <c r="B31" s="9"/>
      <c r="C31" s="9"/>
      <c r="D31" s="17"/>
      <c r="E31" s="17"/>
      <c r="F31" s="17"/>
      <c r="G31" s="60"/>
      <c r="P31" s="9"/>
      <c r="Q31" s="7" t="s">
        <v>41</v>
      </c>
      <c r="W31" s="98"/>
      <c r="X31" s="72"/>
      <c r="Y31" s="72"/>
    </row>
    <row r="32" spans="1:25" x14ac:dyDescent="0.25">
      <c r="A32" s="9"/>
      <c r="B32" s="9"/>
      <c r="C32" s="9"/>
      <c r="D32" s="17"/>
      <c r="E32" s="17"/>
      <c r="F32" s="17"/>
      <c r="G32" s="60"/>
      <c r="J32" s="86" t="s">
        <v>42</v>
      </c>
      <c r="K32" s="75"/>
      <c r="L32" s="75"/>
      <c r="M32" s="87"/>
      <c r="N32" s="87"/>
      <c r="O32" s="75"/>
      <c r="P32" s="88"/>
      <c r="Q32" s="89" t="s">
        <v>43</v>
      </c>
      <c r="R32" s="87"/>
      <c r="S32" s="87"/>
      <c r="T32" s="87"/>
      <c r="U32" s="75"/>
      <c r="V32" s="75"/>
      <c r="W32" s="90">
        <f>SUM(U6:U14)</f>
        <v>26</v>
      </c>
      <c r="X32" s="91"/>
      <c r="Y32" s="92">
        <f>+W32</f>
        <v>26</v>
      </c>
    </row>
    <row r="33" spans="1:25" x14ac:dyDescent="0.25">
      <c r="A33" s="9"/>
      <c r="B33" s="9"/>
      <c r="C33" s="9"/>
      <c r="D33" s="17"/>
      <c r="E33" s="17"/>
      <c r="F33" s="17"/>
      <c r="G33" s="60"/>
      <c r="J33" s="86" t="s">
        <v>44</v>
      </c>
      <c r="K33" s="75"/>
      <c r="L33" s="75"/>
      <c r="M33" s="87"/>
      <c r="N33" s="87"/>
      <c r="O33" s="75"/>
      <c r="P33" s="88"/>
      <c r="Q33" s="86" t="s">
        <v>45</v>
      </c>
      <c r="R33" s="87"/>
      <c r="S33" s="87"/>
      <c r="T33" s="87"/>
      <c r="U33" s="75"/>
      <c r="V33" s="75"/>
      <c r="W33" s="90">
        <v>0</v>
      </c>
      <c r="X33" s="91"/>
      <c r="Y33" s="91">
        <v>0</v>
      </c>
    </row>
    <row r="34" spans="1:25" x14ac:dyDescent="0.25">
      <c r="A34" s="9"/>
      <c r="B34" s="9"/>
      <c r="C34" s="9"/>
      <c r="D34" s="17"/>
      <c r="E34" s="17"/>
      <c r="F34" s="17"/>
      <c r="G34" s="60"/>
      <c r="J34" s="86" t="s">
        <v>46</v>
      </c>
      <c r="K34" s="75"/>
      <c r="L34" s="75"/>
      <c r="M34" s="87"/>
      <c r="N34" s="87"/>
      <c r="O34" s="75"/>
      <c r="P34" s="87"/>
      <c r="Q34" s="89" t="s">
        <v>47</v>
      </c>
      <c r="R34" s="87"/>
      <c r="S34" s="87"/>
      <c r="T34" s="87"/>
      <c r="U34" s="75"/>
      <c r="V34" s="75"/>
      <c r="W34" s="93">
        <f>SUM(W16:W19)+W27+W32</f>
        <v>1353</v>
      </c>
      <c r="X34" s="94"/>
      <c r="Y34" s="94">
        <f>+Y28-Y29+Y32-Y33</f>
        <v>1353</v>
      </c>
    </row>
    <row r="35" spans="1:25" hidden="1" x14ac:dyDescent="0.25">
      <c r="A35" s="9"/>
      <c r="B35" s="9"/>
      <c r="C35" s="9"/>
      <c r="D35" s="17"/>
      <c r="E35" s="17"/>
      <c r="F35" s="17"/>
      <c r="G35" s="60"/>
      <c r="Q35" s="7"/>
      <c r="W35" s="18"/>
      <c r="X35" s="74"/>
      <c r="Y35" s="74"/>
    </row>
    <row r="36" spans="1:25" x14ac:dyDescent="0.25">
      <c r="A36" s="9"/>
      <c r="B36" s="9"/>
      <c r="C36" s="9"/>
      <c r="D36" s="17"/>
      <c r="E36" s="17"/>
      <c r="F36" s="17"/>
      <c r="G36" s="60"/>
      <c r="Q36" s="7" t="s">
        <v>48</v>
      </c>
      <c r="W36" s="18">
        <f>+W34</f>
        <v>1353</v>
      </c>
      <c r="X36" s="74"/>
      <c r="Y36" s="74"/>
    </row>
    <row r="37" spans="1:25" x14ac:dyDescent="0.25">
      <c r="A37" s="9"/>
      <c r="B37" s="9"/>
      <c r="C37" s="9"/>
      <c r="D37" s="17"/>
      <c r="E37" s="17"/>
      <c r="F37" s="17"/>
      <c r="G37" s="60"/>
    </row>
    <row r="38" spans="1:25" x14ac:dyDescent="0.25">
      <c r="A38" s="9"/>
      <c r="B38" s="9"/>
      <c r="C38" s="9"/>
      <c r="D38" s="19"/>
      <c r="E38" s="17"/>
      <c r="F38" s="17"/>
      <c r="G38" s="60"/>
    </row>
    <row r="39" spans="1:25" x14ac:dyDescent="0.25">
      <c r="A39" s="9"/>
      <c r="B39" s="9"/>
      <c r="C39" s="9"/>
      <c r="D39" s="9"/>
      <c r="E39" s="9"/>
      <c r="F39" s="9"/>
      <c r="G39" s="60"/>
    </row>
    <row r="40" spans="1:25" x14ac:dyDescent="0.25">
      <c r="A40" s="20"/>
      <c r="B40" s="9"/>
      <c r="C40" s="9"/>
      <c r="D40" s="9"/>
      <c r="E40" s="9"/>
      <c r="F40" s="9"/>
      <c r="G40" s="60"/>
    </row>
    <row r="41" spans="1:25" x14ac:dyDescent="0.25">
      <c r="A41" s="21"/>
    </row>
    <row r="43" spans="1:25" x14ac:dyDescent="0.25">
      <c r="A43" s="2"/>
    </row>
    <row r="44" spans="1:25" x14ac:dyDescent="0.25">
      <c r="A44" s="2"/>
    </row>
  </sheetData>
  <mergeCells count="4">
    <mergeCell ref="J4:N4"/>
    <mergeCell ref="O4:P4"/>
    <mergeCell ref="Q4:U4"/>
    <mergeCell ref="A1:AA1"/>
  </mergeCells>
  <pageMargins left="0.23611111111111099" right="0.23611111111111099" top="0.74791666666666701" bottom="0.74791666666666701" header="0.511811023622047" footer="0.511811023622047"/>
  <pageSetup paperSize="9"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dc:description/>
  <cp:lastModifiedBy>Nelson Gonzales Huisa</cp:lastModifiedBy>
  <cp:revision>1</cp:revision>
  <cp:lastPrinted>2018-03-28T17:55:03Z</cp:lastPrinted>
  <dcterms:created xsi:type="dcterms:W3CDTF">2018-03-28T13:09:00Z</dcterms:created>
  <dcterms:modified xsi:type="dcterms:W3CDTF">2023-12-29T17:04:13Z</dcterms:modified>
  <dc:language>es-PE</dc:language>
</cp:coreProperties>
</file>